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webextensions/taskpanes.xml" ContentType="application/vnd.ms-office.webextensiontaskpanes+xml"/>
  <Override PartName="/xl/webextensions/webextension1.xml" ContentType="application/vnd.ms-office.webextension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gbeurope-my.sharepoint.com/personal/hristiana_georgieva_icgb_eu/Documents/ICGB/working files/"/>
    </mc:Choice>
  </mc:AlternateContent>
  <xr:revisionPtr revIDLastSave="66" documentId="8_{3171B2FD-8DCE-4081-83F4-CAA57797B59F}" xr6:coauthVersionLast="47" xr6:coauthVersionMax="47" xr10:uidLastSave="{D98B3D15-76DC-4D48-8448-7340B8CCB77B}"/>
  <workbookProtection workbookAlgorithmName="SHA-512" workbookHashValue="2K4rXeCWxCLvkZVQBXebBG8aOy9alBYVJ5WYeXekA/UCHn5N2ZA8RG2jdqJKq5kupdbnQFCrD2Ww2DEAP2i6hA==" workbookSaltValue="DKevTm3qwbSzPWp4uxBjow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  <sheet name="Help sheet" sheetId="2" state="hidden" r:id="rId2"/>
    <sheet name="Tariff kWh-d-T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C30" i="1" s="1"/>
  <c r="F21" i="4"/>
  <c r="H12" i="4"/>
  <c r="G12" i="4"/>
  <c r="C9" i="4"/>
  <c r="I2" i="4"/>
  <c r="C29" i="1" l="1"/>
  <c r="C31" i="1" s="1"/>
  <c r="G20" i="4"/>
  <c r="G29" i="4"/>
  <c r="G30" i="4"/>
  <c r="I30" i="4"/>
  <c r="H20" i="4"/>
  <c r="H29" i="4"/>
  <c r="H30" i="4"/>
  <c r="G28" i="4"/>
  <c r="G21" i="4"/>
  <c r="G22" i="4"/>
  <c r="F28" i="4"/>
  <c r="H28" i="4"/>
  <c r="H21" i="4"/>
  <c r="H22" i="4"/>
  <c r="I20" i="4"/>
  <c r="F22" i="4"/>
  <c r="I28" i="4"/>
  <c r="I21" i="4"/>
  <c r="I22" i="4"/>
  <c r="I29" i="4"/>
  <c r="F20" i="4"/>
  <c r="F29" i="4"/>
  <c r="F30" i="4"/>
  <c r="H60" i="4" l="1"/>
  <c r="G59" i="4"/>
  <c r="H59" i="4"/>
  <c r="I60" i="4"/>
  <c r="F59" i="4"/>
  <c r="I58" i="4"/>
  <c r="H58" i="4"/>
  <c r="G60" i="4"/>
  <c r="I59" i="4"/>
  <c r="G58" i="4"/>
  <c r="F60" i="4"/>
  <c r="F58" i="4"/>
  <c r="D26" i="1" l="1"/>
  <c r="D35" i="1"/>
  <c r="D36" i="1"/>
  <c r="D34" i="1"/>
  <c r="C35" i="1" l="1"/>
  <c r="C36" i="1" l="1"/>
  <c r="C34" i="1"/>
</calcChain>
</file>

<file path=xl/sharedStrings.xml><?xml version="1.0" encoding="utf-8"?>
<sst xmlns="http://schemas.openxmlformats.org/spreadsheetml/2006/main" count="136" uniqueCount="92">
  <si>
    <t>Entry point</t>
  </si>
  <si>
    <t>Stara Zagora</t>
  </si>
  <si>
    <t>Komotini</t>
  </si>
  <si>
    <t>Exit point</t>
  </si>
  <si>
    <t>Product</t>
  </si>
  <si>
    <t>Annual</t>
  </si>
  <si>
    <t>Quarterly</t>
  </si>
  <si>
    <t>Monthly</t>
  </si>
  <si>
    <t>Daily</t>
  </si>
  <si>
    <t>Within day</t>
  </si>
  <si>
    <t>Period</t>
  </si>
  <si>
    <t>October 2022</t>
  </si>
  <si>
    <t>November 2022</t>
  </si>
  <si>
    <t>December 2022</t>
  </si>
  <si>
    <t>January 2023</t>
  </si>
  <si>
    <t>May 2023</t>
  </si>
  <si>
    <t>March 2023</t>
  </si>
  <si>
    <t>April 2023</t>
  </si>
  <si>
    <t>February 2023</t>
  </si>
  <si>
    <t>June 2023</t>
  </si>
  <si>
    <t>July 2023</t>
  </si>
  <si>
    <t>August 2023</t>
  </si>
  <si>
    <t>September 2023</t>
  </si>
  <si>
    <t>01.10.2022 - 31.10.2022</t>
  </si>
  <si>
    <t>01.09.2023 - 30.09.2023</t>
  </si>
  <si>
    <t>01.11.2022 - 30.11.2022</t>
  </si>
  <si>
    <t>01.12.2022 - 31.12.2022</t>
  </si>
  <si>
    <t>01.01.2023 - 31.01.2023</t>
  </si>
  <si>
    <t>01.03.2023 - 31.03.2023</t>
  </si>
  <si>
    <t>01.04.2023 - 30.04.2023</t>
  </si>
  <si>
    <t>01.05.2023 - 31.05.2023</t>
  </si>
  <si>
    <t>01.06.2023 - 30.06.2023</t>
  </si>
  <si>
    <t>01.07.2023 - 31.07.2023</t>
  </si>
  <si>
    <t>01.08.2023 - 31.08.2023</t>
  </si>
  <si>
    <t>01.02.2023 - 28.02.2023</t>
  </si>
  <si>
    <t>Id</t>
  </si>
  <si>
    <t>Period duration - monthly</t>
  </si>
  <si>
    <t>TARIFF CALCULATOR ICGB</t>
  </si>
  <si>
    <t xml:space="preserve">Tariff coefficients </t>
  </si>
  <si>
    <t>FFF</t>
  </si>
  <si>
    <t>IFF</t>
  </si>
  <si>
    <t>IRF</t>
  </si>
  <si>
    <t>FRF</t>
  </si>
  <si>
    <t>ENT Forward Flow</t>
  </si>
  <si>
    <t>EXT Forward Flow</t>
  </si>
  <si>
    <t>ENT Reverse Flow</t>
  </si>
  <si>
    <t>EXT Reverse Flow</t>
  </si>
  <si>
    <t>ENT/EXT coefficients</t>
  </si>
  <si>
    <t>Period duration - quarterly</t>
  </si>
  <si>
    <t>01.10.2022 - 31.12.2022</t>
  </si>
  <si>
    <t>01.11.2022 - 31.01.2023</t>
  </si>
  <si>
    <t>01.12.2022 - 28.02.2023</t>
  </si>
  <si>
    <t>01.01.2023 - 31.03.2023</t>
  </si>
  <si>
    <t>01.02.2023 - 30.04.2023</t>
  </si>
  <si>
    <t>01.03.2023 - 31.05.2023</t>
  </si>
  <si>
    <t>01.04.2023 - 30.06.2023</t>
  </si>
  <si>
    <t>01.05.2023 - 31.07.2023</t>
  </si>
  <si>
    <t>01.10.2022 - 30.09.2023</t>
  </si>
  <si>
    <t>ENT</t>
  </si>
  <si>
    <t>EXT</t>
  </si>
  <si>
    <t>Total</t>
  </si>
  <si>
    <t>Flow type</t>
  </si>
  <si>
    <t>€/kNcm/y</t>
  </si>
  <si>
    <t>Coefficient</t>
  </si>
  <si>
    <t>Type of product</t>
  </si>
  <si>
    <t>IP</t>
  </si>
  <si>
    <t>ANNUAL</t>
  </si>
  <si>
    <t>QUARTERLY</t>
  </si>
  <si>
    <t>MONTHLY</t>
  </si>
  <si>
    <t>DAILY</t>
  </si>
  <si>
    <t>Hours per year</t>
  </si>
  <si>
    <t>H/day</t>
  </si>
  <si>
    <t>NRT(COD)</t>
  </si>
  <si>
    <t>€/kWh</t>
  </si>
  <si>
    <t>*Tariff Code, 2.5 Conversion Values</t>
  </si>
  <si>
    <t>Yearly Capacity</t>
  </si>
  <si>
    <t>Quarterly capacity</t>
  </si>
  <si>
    <t>Monthly capacity</t>
  </si>
  <si>
    <t>Daily capacity</t>
  </si>
  <si>
    <t>Days in period</t>
  </si>
  <si>
    <t>ENT fee</t>
  </si>
  <si>
    <t>EXT fee</t>
  </si>
  <si>
    <t>Total fee</t>
  </si>
  <si>
    <t xml:space="preserve">Reserved capacity </t>
  </si>
  <si>
    <t>ЕUR/kWh/Gas day/Duration</t>
  </si>
  <si>
    <t>Tariffs are per Capacity products in ЕUR/kWh/Gas day/ for calendar 2022</t>
  </si>
  <si>
    <t>check FFF</t>
  </si>
  <si>
    <t>check IFF</t>
  </si>
  <si>
    <t>check IRF</t>
  </si>
  <si>
    <t>* Please insert the quantity for one Gas day within the relevant period</t>
  </si>
  <si>
    <t>01.06.2023 - 31.08.2023</t>
  </si>
  <si>
    <t>01.07.2023 - 30.09.2023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</si>
</sst>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.00000000_);_(* \(#,##0.00000000\);_(* &quot;-&quot;??_);_(@_)"/>
    <numFmt numFmtId="165" formatCode="_(* #,##0.00_);_(* \(#,##0.00\);_(* &quot;-&quot;??_);_(@_)"/>
    <numFmt numFmtId="166" formatCode="_(* #,##0.0000000_);_(* \(#,##0.0000000\);_(* &quot;-&quot;??_);_(@_)"/>
    <numFmt numFmtId="167" formatCode="yyyy\-mm\-dd;@"/>
    <numFmt numFmtId="168" formatCode="0.000000"/>
    <numFmt numFmtId="169" formatCode="#,##0.000000"/>
    <numFmt numFmtId="170" formatCode="_-* #,##0.0000000\ _л_в_._-;\-* #,##0.0000000\ _л_в_._-;_-* &quot;-&quot;???????\ _л_в_._-;_-@_-"/>
    <numFmt numFmtId="171" formatCode="0.00000000000000"/>
    <numFmt numFmtId="172" formatCode="#,##0.00000_ ;\-#,##0.00000\ 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212529"/>
      <name val="Open Sans"/>
      <family val="2"/>
    </font>
    <font>
      <sz val="12"/>
      <color rgb="FF212529"/>
      <name val="Open Sans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Tahoma"/>
      <family val="2"/>
      <charset val="204"/>
    </font>
    <font>
      <sz val="12"/>
      <color rgb="FF62BB46"/>
      <name val="Open Sans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i/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3996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Protection="1">
      <protection hidden="1"/>
    </xf>
    <xf numFmtId="0" fontId="2" fillId="0" borderId="0" xfId="0" applyFont="1"/>
    <xf numFmtId="49" fontId="0" fillId="0" borderId="0" xfId="0" applyNumberFormat="1"/>
    <xf numFmtId="0" fontId="4" fillId="0" borderId="0" xfId="0" applyFont="1"/>
    <xf numFmtId="0" fontId="3" fillId="2" borderId="1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4" fontId="4" fillId="0" borderId="0" xfId="0" applyNumberFormat="1" applyFont="1"/>
    <xf numFmtId="0" fontId="3" fillId="0" borderId="0" xfId="0" applyFont="1"/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10" fontId="2" fillId="0" borderId="0" xfId="1" applyNumberFormat="1" applyFont="1"/>
    <xf numFmtId="0" fontId="4" fillId="0" borderId="0" xfId="0" applyFont="1" applyProtection="1">
      <protection locked="0"/>
    </xf>
    <xf numFmtId="0" fontId="7" fillId="4" borderId="2" xfId="0" applyFont="1" applyFill="1" applyBorder="1" applyAlignment="1">
      <alignment vertical="center" wrapText="1"/>
    </xf>
    <xf numFmtId="10" fontId="5" fillId="0" borderId="0" xfId="1" applyNumberFormat="1" applyFont="1"/>
    <xf numFmtId="10" fontId="0" fillId="5" borderId="0" xfId="1" applyNumberFormat="1" applyFont="1" applyFill="1"/>
    <xf numFmtId="0" fontId="8" fillId="0" borderId="0" xfId="0" applyFont="1"/>
    <xf numFmtId="10" fontId="5" fillId="5" borderId="0" xfId="1" applyNumberFormat="1" applyFont="1" applyFill="1"/>
    <xf numFmtId="0" fontId="0" fillId="5" borderId="0" xfId="0" applyFill="1"/>
    <xf numFmtId="164" fontId="0" fillId="0" borderId="0" xfId="0" applyNumberFormat="1"/>
    <xf numFmtId="166" fontId="0" fillId="5" borderId="0" xfId="2" applyNumberFormat="1" applyFont="1" applyFill="1"/>
    <xf numFmtId="167" fontId="0" fillId="0" borderId="0" xfId="0" applyNumberFormat="1"/>
    <xf numFmtId="2" fontId="0" fillId="5" borderId="0" xfId="0" applyNumberFormat="1" applyFill="1"/>
    <xf numFmtId="168" fontId="7" fillId="2" borderId="2" xfId="0" applyNumberFormat="1" applyFont="1" applyFill="1" applyBorder="1" applyAlignment="1">
      <alignment vertical="center" wrapText="1"/>
    </xf>
    <xf numFmtId="168" fontId="7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6" fillId="4" borderId="2" xfId="0" applyFont="1" applyFill="1" applyBorder="1" applyAlignment="1">
      <alignment horizontal="center" vertical="center" wrapText="1"/>
    </xf>
    <xf numFmtId="169" fontId="4" fillId="0" borderId="0" xfId="0" applyNumberFormat="1" applyFont="1" applyProtection="1">
      <protection hidden="1"/>
    </xf>
    <xf numFmtId="0" fontId="3" fillId="2" borderId="0" xfId="0" applyFont="1" applyFill="1"/>
    <xf numFmtId="170" fontId="0" fillId="0" borderId="0" xfId="0" applyNumberFormat="1"/>
    <xf numFmtId="0" fontId="6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171" fontId="7" fillId="4" borderId="0" xfId="0" applyNumberFormat="1" applyFont="1" applyFill="1" applyAlignment="1">
      <alignment vertical="center" wrapText="1"/>
    </xf>
    <xf numFmtId="0" fontId="11" fillId="0" borderId="0" xfId="0" applyFont="1"/>
    <xf numFmtId="0" fontId="12" fillId="0" borderId="0" xfId="0" applyFont="1"/>
    <xf numFmtId="172" fontId="12" fillId="0" borderId="0" xfId="0" applyNumberFormat="1" applyFont="1"/>
    <xf numFmtId="0" fontId="6" fillId="4" borderId="2" xfId="0" applyFont="1" applyFill="1" applyBorder="1" applyAlignment="1">
      <alignment vertical="center"/>
    </xf>
    <xf numFmtId="0" fontId="13" fillId="0" borderId="0" xfId="0" applyFont="1" applyProtection="1">
      <protection hidden="1"/>
    </xf>
    <xf numFmtId="0" fontId="15" fillId="0" borderId="0" xfId="0" applyFont="1"/>
    <xf numFmtId="0" fontId="13" fillId="0" borderId="0" xfId="0" applyFont="1"/>
    <xf numFmtId="0" fontId="4" fillId="2" borderId="0" xfId="0" applyFont="1" applyFill="1" applyProtection="1">
      <protection hidden="1"/>
    </xf>
    <xf numFmtId="0" fontId="3" fillId="3" borderId="2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168" fontId="3" fillId="0" borderId="0" xfId="0" applyNumberFormat="1" applyFont="1"/>
    <xf numFmtId="169" fontId="3" fillId="0" borderId="0" xfId="0" applyNumberFormat="1" applyFont="1" applyProtection="1">
      <protection hidden="1"/>
    </xf>
    <xf numFmtId="4" fontId="4" fillId="0" borderId="0" xfId="0" applyNumberFormat="1" applyFont="1" applyProtection="1">
      <protection hidden="1"/>
    </xf>
    <xf numFmtId="4" fontId="3" fillId="0" borderId="0" xfId="0" applyNumberFormat="1" applyFont="1" applyProtection="1">
      <protection hidden="1"/>
    </xf>
    <xf numFmtId="168" fontId="4" fillId="0" borderId="0" xfId="0" applyNumberFormat="1" applyFont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Comma 2" xfId="2" xr:uid="{0E4498D5-DF10-4AE2-A6DC-C1DF400626D4}"/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FB4AA950-DEEC-429B-93B6-17BD7E60DC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List" dx="22" fmlaLink="$C$17" fmlaRange="'Help sheet'!$G$2:$G$13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16</xdr:row>
          <xdr:rowOff>47625</xdr:rowOff>
        </xdr:from>
        <xdr:to>
          <xdr:col>2</xdr:col>
          <xdr:colOff>1114425</xdr:colOff>
          <xdr:row>23</xdr:row>
          <xdr:rowOff>47625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209550</xdr:rowOff>
    </xdr:from>
    <xdr:to>
      <xdr:col>1</xdr:col>
      <xdr:colOff>847725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1819275" cy="571500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37</xdr:row>
      <xdr:rowOff>133350</xdr:rowOff>
    </xdr:from>
    <xdr:to>
      <xdr:col>3</xdr:col>
      <xdr:colOff>504825</xdr:colOff>
      <xdr:row>39</xdr:row>
      <xdr:rowOff>219075</xdr:rowOff>
    </xdr:to>
    <xdr:sp macro="[0]!Sheet1.Check_button" textlink="">
      <xdr:nvSpPr>
        <xdr:cNvPr id="2" name="Rectangle 1" descr="gtfert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62100" y="7905750"/>
          <a:ext cx="2305050" cy="54292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Check</a:t>
          </a:r>
          <a:r>
            <a:rPr lang="en-US" sz="2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bg-BG" sz="24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8DC3DFD-6BCB-42B5-8B4E-7C24B7BB811A}">
  <we:reference id="wa104006972" version="1.0.0.0" store="en-US" storeType="OMEX"/>
  <we:alternateReferences>
    <we:reference id="WA104006972" version="1.0.0.0" store="WA10400697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3"/>
  <sheetViews>
    <sheetView showGridLines="0" tabSelected="1" workbookViewId="0">
      <selection activeCell="E12" sqref="E12"/>
    </sheetView>
  </sheetViews>
  <sheetFormatPr defaultColWidth="0" defaultRowHeight="18" zeroHeight="1" x14ac:dyDescent="0.25"/>
  <cols>
    <col min="1" max="1" width="15.7109375" style="4" bestFit="1" customWidth="1"/>
    <col min="2" max="2" width="15.7109375" style="4" customWidth="1"/>
    <col min="3" max="3" width="19" style="4" bestFit="1" customWidth="1"/>
    <col min="4" max="4" width="30" style="4" bestFit="1" customWidth="1"/>
    <col min="5" max="5" width="12.140625" style="4" bestFit="1" customWidth="1"/>
    <col min="6" max="7" width="10.140625" style="4" hidden="1" customWidth="1"/>
    <col min="8" max="8" width="9.140625" style="4" hidden="1" customWidth="1"/>
    <col min="9" max="9" width="11.7109375" style="4" hidden="1" customWidth="1"/>
    <col min="10" max="10" width="10.7109375" style="4" hidden="1" customWidth="1"/>
    <col min="11" max="16384" width="9.140625" style="4" hidden="1"/>
  </cols>
  <sheetData>
    <row r="1" spans="1:8" x14ac:dyDescent="0.25"/>
    <row r="2" spans="1:8" x14ac:dyDescent="0.25"/>
    <row r="3" spans="1:8" x14ac:dyDescent="0.25"/>
    <row r="4" spans="1:8" x14ac:dyDescent="0.25"/>
    <row r="5" spans="1:8" x14ac:dyDescent="0.25"/>
    <row r="6" spans="1:8" ht="19.5" x14ac:dyDescent="0.25">
      <c r="A6" s="53" t="s">
        <v>37</v>
      </c>
      <c r="B6" s="53"/>
      <c r="C6" s="53"/>
      <c r="D6" s="53"/>
      <c r="E6" s="53"/>
    </row>
    <row r="7" spans="1:8" x14ac:dyDescent="0.25">
      <c r="A7" s="11"/>
      <c r="B7" s="11"/>
      <c r="C7" s="11"/>
      <c r="D7" s="11"/>
      <c r="E7" s="11"/>
    </row>
    <row r="8" spans="1:8" x14ac:dyDescent="0.25"/>
    <row r="9" spans="1:8" x14ac:dyDescent="0.25">
      <c r="A9" s="5" t="s">
        <v>0</v>
      </c>
      <c r="B9" s="6"/>
      <c r="C9" s="45" t="s">
        <v>2</v>
      </c>
      <c r="F9" s="7"/>
    </row>
    <row r="10" spans="1:8" x14ac:dyDescent="0.25">
      <c r="C10" s="8"/>
      <c r="G10" s="7"/>
    </row>
    <row r="11" spans="1:8" x14ac:dyDescent="0.25">
      <c r="A11" s="5" t="s">
        <v>3</v>
      </c>
      <c r="B11" s="6"/>
      <c r="C11" s="45" t="s">
        <v>1</v>
      </c>
      <c r="H11" s="7"/>
    </row>
    <row r="12" spans="1:8" x14ac:dyDescent="0.25">
      <c r="C12" s="8"/>
    </row>
    <row r="13" spans="1:8" x14ac:dyDescent="0.25">
      <c r="A13" s="9" t="s">
        <v>4</v>
      </c>
      <c r="B13" s="10"/>
      <c r="C13" s="45" t="s">
        <v>6</v>
      </c>
      <c r="F13" s="7"/>
      <c r="G13" s="7"/>
    </row>
    <row r="14" spans="1:8" x14ac:dyDescent="0.25">
      <c r="A14" s="10"/>
      <c r="B14" s="10"/>
      <c r="F14" s="7"/>
      <c r="G14" s="7"/>
    </row>
    <row r="15" spans="1:8" x14ac:dyDescent="0.25">
      <c r="A15" s="10" t="s">
        <v>61</v>
      </c>
      <c r="B15" s="10"/>
      <c r="C15" s="45" t="s">
        <v>40</v>
      </c>
      <c r="F15" s="7"/>
      <c r="G15" s="7"/>
    </row>
    <row r="16" spans="1:8" x14ac:dyDescent="0.25">
      <c r="C16" s="14"/>
    </row>
    <row r="17" spans="1:12" x14ac:dyDescent="0.25">
      <c r="A17" s="8" t="s">
        <v>10</v>
      </c>
      <c r="B17" s="8"/>
      <c r="C17" s="46">
        <v>4</v>
      </c>
      <c r="L17" s="7"/>
    </row>
    <row r="18" spans="1:12" x14ac:dyDescent="0.25">
      <c r="A18" s="44" t="str">
        <f>IF($C$13="monthly",VLOOKUP($C$17,'Help sheet'!I:J,2,0),IF($C$13="daily","daily",IF($C$13="within day","within day",IF($C$13="quarterly",IFERROR(VLOOKUP($C$17,'Help sheet'!L:M,2,0),"not allowed start of quarterly period"),IF($C$13="annual",IFERROR(VLOOKUP($C$17,'Help sheet'!O:P,2,0),"not allowed start of annual period"))))))</f>
        <v>01.01.2023 - 31.03.2023</v>
      </c>
      <c r="C18" s="47"/>
    </row>
    <row r="19" spans="1:12" x14ac:dyDescent="0.25">
      <c r="C19" s="14"/>
    </row>
    <row r="20" spans="1:12" x14ac:dyDescent="0.25">
      <c r="C20" s="14"/>
      <c r="H20" s="7"/>
    </row>
    <row r="21" spans="1:12" x14ac:dyDescent="0.25">
      <c r="A21" s="7"/>
      <c r="B21" s="7"/>
      <c r="C21" s="14"/>
    </row>
    <row r="22" spans="1:12" x14ac:dyDescent="0.25">
      <c r="C22" s="14"/>
      <c r="J22" s="7"/>
    </row>
    <row r="23" spans="1:12" x14ac:dyDescent="0.25">
      <c r="C23" s="14"/>
    </row>
    <row r="24" spans="1:12" x14ac:dyDescent="0.25">
      <c r="C24" s="14"/>
    </row>
    <row r="25" spans="1:12" x14ac:dyDescent="0.25"/>
    <row r="26" spans="1:12" x14ac:dyDescent="0.25">
      <c r="A26" s="8" t="s">
        <v>83</v>
      </c>
      <c r="C26" s="45">
        <v>1000</v>
      </c>
      <c r="D26" s="41" t="str">
        <f>IF($C$13="Annual","kWh/D/year",IF($C$13="Quarterly","kWh/D/quarter",IF($C$13="Monthly","kWh/D/month",IF($C$13="Daily","kWh/day",IF($C$13="Within day","kWh/Within day")))))</f>
        <v>kWh/D/quarter</v>
      </c>
      <c r="G26" s="29"/>
      <c r="H26" s="28"/>
    </row>
    <row r="27" spans="1:12" x14ac:dyDescent="0.25">
      <c r="A27" s="42" t="s">
        <v>89</v>
      </c>
      <c r="C27" s="32"/>
      <c r="D27" s="41"/>
      <c r="G27" s="29"/>
      <c r="H27" s="28"/>
    </row>
    <row r="28" spans="1:12" x14ac:dyDescent="0.25">
      <c r="D28" s="43"/>
      <c r="H28" s="28"/>
    </row>
    <row r="29" spans="1:12" x14ac:dyDescent="0.25">
      <c r="A29" s="4" t="s">
        <v>58</v>
      </c>
      <c r="C29" s="31">
        <f>IF($C$9=$C$11,"Error",IF(AND($C$15="FFF",$C$9="Stara Zagora"),"Error",IF(AND($C$15="IFF",$C$9="Stara Zagora"),"Error",IF(AND($C$15="IRF",$C$9="Komotini"),"Error",IF($A$18="not allowed start of annual period","Error",INDEX('Tariff kWh-d-T'!$D$19:$I$22,MATCH(Calculator!$C$15,'Tariff kWh-d-T'!$D$19:$D$22,0),MATCH(Calculator!$C$13,'Tariff kWh-d-T'!$D$19:$I$19,0)))))))</f>
        <v>2.5475999999999999E-2</v>
      </c>
      <c r="D29" s="41" t="s">
        <v>84</v>
      </c>
      <c r="E29" s="52"/>
      <c r="H29" s="28"/>
    </row>
    <row r="30" spans="1:12" x14ac:dyDescent="0.25">
      <c r="A30" s="4" t="s">
        <v>59</v>
      </c>
      <c r="C30" s="31">
        <f>IF($C$9=$C$11,"Error",IF(AND($C$15="FFF",$C$9="Stara Zagora"),"Error",IF(AND($C$15="IFF",$C$9="Stara Zagora"),"Error",IF(AND($C$15="IRF",$C$9="Komotini"),"Error",IF($A$18="not allowed start of annual period","Error",INDEX('Tariff kWh-d-T'!$D$27:$I$30,MATCH(Calculator!$C$15,'Tariff kWh-d-T'!$D$27:$D$30,0),MATCH(Calculator!$C$13,'Tariff kWh-d-T'!$D$27:$I$27,0)))))))</f>
        <v>0.124385</v>
      </c>
      <c r="D30" s="41" t="s">
        <v>84</v>
      </c>
      <c r="H30"/>
    </row>
    <row r="31" spans="1:12" x14ac:dyDescent="0.25">
      <c r="A31" s="8" t="s">
        <v>60</v>
      </c>
      <c r="B31" s="8"/>
      <c r="C31" s="49">
        <f>IFERROR(C29+C30,"Error")</f>
        <v>0.14986099999999999</v>
      </c>
      <c r="D31" s="41" t="s">
        <v>84</v>
      </c>
    </row>
    <row r="32" spans="1:12" x14ac:dyDescent="0.25">
      <c r="A32" s="8"/>
      <c r="B32" s="8"/>
      <c r="C32" s="48"/>
      <c r="D32" s="43"/>
    </row>
    <row r="33" spans="1:4" x14ac:dyDescent="0.25">
      <c r="A33" s="8"/>
      <c r="B33" s="8"/>
      <c r="C33" s="48"/>
      <c r="D33" s="43"/>
    </row>
    <row r="34" spans="1:4" x14ac:dyDescent="0.25">
      <c r="A34" s="4" t="s">
        <v>80</v>
      </c>
      <c r="B34" s="8"/>
      <c r="C34" s="50">
        <f>IFERROR($C$26*C29,"Error")</f>
        <v>25.475999999999999</v>
      </c>
      <c r="D34" s="41" t="str">
        <f>IF($C$13="Annual","EUR/year",IF($C$13="Quarterly","EUR/quarter",IF($C$13="Monthly","EUR/month",IF($C$13="Daily","EUR/day",IF($C$13="Within day","EUR/Within day")))))</f>
        <v>EUR/quarter</v>
      </c>
    </row>
    <row r="35" spans="1:4" x14ac:dyDescent="0.25">
      <c r="A35" s="4" t="s">
        <v>81</v>
      </c>
      <c r="B35" s="8"/>
      <c r="C35" s="50">
        <f>IFERROR($C$26*C30,"Error")</f>
        <v>124.38499999999999</v>
      </c>
      <c r="D35" s="41" t="str">
        <f t="shared" ref="D35:D36" si="0">IF($C$13="Annual","EUR/year",IF($C$13="Quarterly","EUR/quarter",IF($C$13="Monthly","EUR/month",IF($C$13="Daily","EUR/day",IF($C$13="Within day","EUR/Within day")))))</f>
        <v>EUR/quarter</v>
      </c>
    </row>
    <row r="36" spans="1:4" x14ac:dyDescent="0.25">
      <c r="A36" s="8" t="s">
        <v>82</v>
      </c>
      <c r="C36" s="51">
        <f>IFERROR($C$26*C31,"Error")</f>
        <v>149.86099999999999</v>
      </c>
      <c r="D36" s="41" t="str">
        <f t="shared" si="0"/>
        <v>EUR/quarter</v>
      </c>
    </row>
    <row r="37" spans="1:4" x14ac:dyDescent="0.25">
      <c r="A37" s="8"/>
    </row>
    <row r="38" spans="1:4" x14ac:dyDescent="0.25"/>
    <row r="39" spans="1:4" x14ac:dyDescent="0.25"/>
    <row r="40" spans="1:4" x14ac:dyDescent="0.25"/>
    <row r="41" spans="1:4" x14ac:dyDescent="0.25"/>
    <row r="43" spans="1:4" x14ac:dyDescent="0.25"/>
  </sheetData>
  <sheetProtection algorithmName="SHA-512" hashValue="OdHNZDuLhYp80Cs7yAIXwx8i4U1qHHgXKKr4FLgovfisJdGOENoWU6y6pXwNWtM/OiemNCV89l70ZZNFSjLX4Q==" saltValue="OjOLzx9pcYzptFmiWwCMpQ==" spinCount="100000" sheet="1" objects="1" scenarios="1"/>
  <mergeCells count="1">
    <mergeCell ref="A6:E6"/>
  </mergeCells>
  <conditionalFormatting sqref="C1:C1048576">
    <cfRule type="expression" dxfId="2" priority="3">
      <formula>$C1="Error"</formula>
    </cfRule>
  </conditionalFormatting>
  <conditionalFormatting sqref="A1:A1048576">
    <cfRule type="expression" dxfId="1" priority="2">
      <formula>$A1="not allowed start of annual period"</formula>
    </cfRule>
    <cfRule type="expression" dxfId="0" priority="1">
      <formula>$A1="not allowed start of quarterly period"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1</xdr:col>
                    <xdr:colOff>1028700</xdr:colOff>
                    <xdr:row>16</xdr:row>
                    <xdr:rowOff>47625</xdr:rowOff>
                  </from>
                  <to>
                    <xdr:col>2</xdr:col>
                    <xdr:colOff>1114425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D5AF5E8-1B24-4218-A632-2E0F13F53BE4}">
          <x14:formula1>
            <xm:f>'Help sheet'!$A$2:$A$3</xm:f>
          </x14:formula1>
          <xm:sqref>C9</xm:sqref>
        </x14:dataValidation>
        <x14:dataValidation type="list" allowBlank="1" showInputMessage="1" showErrorMessage="1" xr:uid="{7096D162-AAB9-4528-B928-84D2E8E06EA8}">
          <x14:formula1>
            <xm:f>'Help sheet'!$C$2:$C$3</xm:f>
          </x14:formula1>
          <xm:sqref>C11</xm:sqref>
        </x14:dataValidation>
        <x14:dataValidation type="list" allowBlank="1" showInputMessage="1" showErrorMessage="1" xr:uid="{61D3A1ED-E348-434D-95E5-2F33BE2C5D77}">
          <x14:formula1>
            <xm:f>'Help sheet'!$E$2:$E$6</xm:f>
          </x14:formula1>
          <xm:sqref>C14</xm:sqref>
        </x14:dataValidation>
        <x14:dataValidation type="list" allowBlank="1" showInputMessage="1" showErrorMessage="1" xr:uid="{297D3580-770B-4C6D-B1BB-7DFBD46861D2}">
          <x14:formula1>
            <xm:f>'Help sheet'!$R$2:$R$4</xm:f>
          </x14:formula1>
          <xm:sqref>C15</xm:sqref>
        </x14:dataValidation>
        <x14:dataValidation type="list" allowBlank="1" showInputMessage="1" showErrorMessage="1" xr:uid="{BF42AC12-C768-419C-A4D2-66AF3639F5D4}">
          <x14:formula1>
            <xm:f>'Help sheet'!$E$2:$E$5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7E71-9687-4B8E-9F6A-F40BF50CBA09}">
  <sheetPr codeName="Sheet2"/>
  <dimension ref="A1:AF20"/>
  <sheetViews>
    <sheetView workbookViewId="0">
      <selection activeCell="F17" sqref="F17:I17"/>
    </sheetView>
  </sheetViews>
  <sheetFormatPr defaultRowHeight="15" x14ac:dyDescent="0.25"/>
  <cols>
    <col min="1" max="1" width="11.28515625" bestFit="1" customWidth="1"/>
    <col min="7" max="7" width="14.42578125" bestFit="1" customWidth="1"/>
    <col min="10" max="10" width="24.28515625" bestFit="1" customWidth="1"/>
    <col min="11" max="11" width="9.7109375" customWidth="1"/>
    <col min="13" max="13" width="25" bestFit="1" customWidth="1"/>
    <col min="14" max="14" width="25" customWidth="1"/>
    <col min="16" max="16" width="25" bestFit="1" customWidth="1"/>
    <col min="18" max="18" width="17.28515625" bestFit="1" customWidth="1"/>
    <col min="19" max="19" width="9.140625" style="12"/>
    <col min="21" max="21" width="17.28515625" bestFit="1" customWidth="1"/>
    <col min="24" max="24" width="17" bestFit="1" customWidth="1"/>
    <col min="30" max="31" width="10" bestFit="1" customWidth="1"/>
  </cols>
  <sheetData>
    <row r="1" spans="1:32" x14ac:dyDescent="0.25">
      <c r="A1" s="1" t="s">
        <v>0</v>
      </c>
      <c r="C1" s="1" t="s">
        <v>3</v>
      </c>
      <c r="E1" s="2" t="s">
        <v>4</v>
      </c>
      <c r="G1" s="2" t="s">
        <v>10</v>
      </c>
      <c r="I1" s="2" t="s">
        <v>35</v>
      </c>
      <c r="J1" s="2" t="s">
        <v>36</v>
      </c>
      <c r="K1" s="2"/>
      <c r="L1" s="2" t="s">
        <v>35</v>
      </c>
      <c r="M1" s="2" t="s">
        <v>48</v>
      </c>
      <c r="N1" s="2"/>
      <c r="O1" s="2" t="s">
        <v>35</v>
      </c>
      <c r="P1" s="2" t="s">
        <v>48</v>
      </c>
      <c r="R1" s="2" t="s">
        <v>38</v>
      </c>
      <c r="S1" s="13"/>
      <c r="U1" s="2" t="s">
        <v>47</v>
      </c>
      <c r="Y1" s="2"/>
      <c r="Z1" s="2"/>
      <c r="AA1" s="2"/>
      <c r="AB1" s="2"/>
      <c r="AE1" s="54"/>
      <c r="AF1" s="54"/>
    </row>
    <row r="2" spans="1:32" x14ac:dyDescent="0.25">
      <c r="A2" t="s">
        <v>2</v>
      </c>
      <c r="C2" t="s">
        <v>2</v>
      </c>
      <c r="E2" t="s">
        <v>5</v>
      </c>
      <c r="G2" s="3" t="s">
        <v>11</v>
      </c>
      <c r="I2">
        <v>1</v>
      </c>
      <c r="J2" t="s">
        <v>23</v>
      </c>
      <c r="L2">
        <v>1</v>
      </c>
      <c r="M2" t="s">
        <v>49</v>
      </c>
      <c r="O2">
        <v>1</v>
      </c>
      <c r="P2" t="s">
        <v>57</v>
      </c>
      <c r="R2" t="s">
        <v>39</v>
      </c>
      <c r="S2" s="12">
        <v>1</v>
      </c>
      <c r="U2" t="s">
        <v>43</v>
      </c>
      <c r="V2" s="12">
        <v>0.17</v>
      </c>
    </row>
    <row r="3" spans="1:32" x14ac:dyDescent="0.25">
      <c r="A3" t="s">
        <v>1</v>
      </c>
      <c r="C3" t="s">
        <v>1</v>
      </c>
      <c r="E3" t="s">
        <v>6</v>
      </c>
      <c r="G3" s="3" t="s">
        <v>12</v>
      </c>
      <c r="I3">
        <v>2</v>
      </c>
      <c r="J3" t="s">
        <v>25</v>
      </c>
      <c r="L3">
        <v>2</v>
      </c>
      <c r="M3" t="s">
        <v>50</v>
      </c>
      <c r="R3" t="s">
        <v>40</v>
      </c>
      <c r="S3" s="16">
        <v>0.9</v>
      </c>
      <c r="U3" t="s">
        <v>44</v>
      </c>
      <c r="V3" s="12">
        <v>0.83</v>
      </c>
    </row>
    <row r="4" spans="1:32" x14ac:dyDescent="0.25">
      <c r="E4" t="s">
        <v>7</v>
      </c>
      <c r="G4" s="3" t="s">
        <v>13</v>
      </c>
      <c r="I4">
        <v>3</v>
      </c>
      <c r="J4" t="s">
        <v>26</v>
      </c>
      <c r="L4">
        <v>3</v>
      </c>
      <c r="M4" t="s">
        <v>51</v>
      </c>
      <c r="R4" t="s">
        <v>41</v>
      </c>
      <c r="S4" s="16">
        <v>0.15</v>
      </c>
      <c r="U4" t="s">
        <v>45</v>
      </c>
      <c r="V4" s="12">
        <v>0.83</v>
      </c>
    </row>
    <row r="5" spans="1:32" x14ac:dyDescent="0.25">
      <c r="E5" t="s">
        <v>8</v>
      </c>
      <c r="G5" s="3" t="s">
        <v>14</v>
      </c>
      <c r="I5">
        <v>4</v>
      </c>
      <c r="J5" t="s">
        <v>27</v>
      </c>
      <c r="L5">
        <v>4</v>
      </c>
      <c r="M5" t="s">
        <v>52</v>
      </c>
      <c r="R5" t="s">
        <v>42</v>
      </c>
      <c r="S5" s="12">
        <v>0.25</v>
      </c>
      <c r="U5" t="s">
        <v>46</v>
      </c>
      <c r="V5" s="12">
        <v>0.17</v>
      </c>
    </row>
    <row r="6" spans="1:32" x14ac:dyDescent="0.25">
      <c r="E6" t="s">
        <v>9</v>
      </c>
      <c r="G6" s="3" t="s">
        <v>18</v>
      </c>
      <c r="I6">
        <v>5</v>
      </c>
      <c r="J6" t="s">
        <v>34</v>
      </c>
      <c r="L6">
        <v>5</v>
      </c>
      <c r="M6" t="s">
        <v>53</v>
      </c>
    </row>
    <row r="7" spans="1:32" x14ac:dyDescent="0.25">
      <c r="G7" s="3" t="s">
        <v>16</v>
      </c>
      <c r="I7">
        <v>6</v>
      </c>
      <c r="J7" t="s">
        <v>28</v>
      </c>
      <c r="L7">
        <v>6</v>
      </c>
      <c r="M7" t="s">
        <v>54</v>
      </c>
    </row>
    <row r="8" spans="1:32" x14ac:dyDescent="0.25">
      <c r="G8" s="3" t="s">
        <v>17</v>
      </c>
      <c r="I8">
        <v>7</v>
      </c>
      <c r="J8" t="s">
        <v>29</v>
      </c>
      <c r="L8">
        <v>7</v>
      </c>
      <c r="M8" t="s">
        <v>55</v>
      </c>
    </row>
    <row r="9" spans="1:32" x14ac:dyDescent="0.25">
      <c r="G9" s="3" t="s">
        <v>15</v>
      </c>
      <c r="I9">
        <v>8</v>
      </c>
      <c r="J9" t="s">
        <v>30</v>
      </c>
      <c r="L9">
        <v>8</v>
      </c>
      <c r="M9" t="s">
        <v>56</v>
      </c>
    </row>
    <row r="10" spans="1:32" x14ac:dyDescent="0.25">
      <c r="G10" s="3" t="s">
        <v>19</v>
      </c>
      <c r="I10">
        <v>9</v>
      </c>
      <c r="J10" t="s">
        <v>31</v>
      </c>
      <c r="L10">
        <v>9</v>
      </c>
      <c r="M10" t="s">
        <v>90</v>
      </c>
    </row>
    <row r="11" spans="1:32" ht="15.75" customHeight="1" x14ac:dyDescent="0.25">
      <c r="G11" s="3" t="s">
        <v>20</v>
      </c>
      <c r="I11">
        <v>10</v>
      </c>
      <c r="J11" t="s">
        <v>32</v>
      </c>
      <c r="L11">
        <v>10</v>
      </c>
      <c r="M11" t="s">
        <v>91</v>
      </c>
      <c r="S11"/>
    </row>
    <row r="12" spans="1:32" ht="15.75" customHeight="1" x14ac:dyDescent="0.25">
      <c r="G12" s="3" t="s">
        <v>21</v>
      </c>
      <c r="I12">
        <v>11</v>
      </c>
      <c r="J12" t="s">
        <v>33</v>
      </c>
      <c r="S12"/>
    </row>
    <row r="13" spans="1:32" ht="63" customHeight="1" x14ac:dyDescent="0.25">
      <c r="G13" s="3" t="s">
        <v>22</v>
      </c>
      <c r="I13">
        <v>12</v>
      </c>
      <c r="J13" t="s">
        <v>24</v>
      </c>
      <c r="S13"/>
    </row>
    <row r="14" spans="1:32" ht="15" customHeight="1" x14ac:dyDescent="0.25">
      <c r="S14"/>
    </row>
    <row r="15" spans="1:32" ht="30" customHeight="1" x14ac:dyDescent="0.25">
      <c r="S15"/>
    </row>
    <row r="16" spans="1:32" ht="15" customHeight="1" x14ac:dyDescent="0.25">
      <c r="S16"/>
    </row>
    <row r="17" spans="19:19" ht="15" customHeight="1" x14ac:dyDescent="0.25">
      <c r="S17"/>
    </row>
    <row r="18" spans="19:19" ht="30" customHeight="1" x14ac:dyDescent="0.25">
      <c r="S18"/>
    </row>
    <row r="19" spans="19:19" ht="44.25" customHeight="1" x14ac:dyDescent="0.25">
      <c r="S19"/>
    </row>
    <row r="20" spans="19:19" ht="15" customHeight="1" x14ac:dyDescent="0.25">
      <c r="S20"/>
    </row>
  </sheetData>
  <mergeCells count="1">
    <mergeCell ref="AE1:A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15F9-7708-44FF-B82F-844CB15CF3EF}">
  <sheetPr codeName="Sheet3"/>
  <dimension ref="B1:N60"/>
  <sheetViews>
    <sheetView topLeftCell="A13" workbookViewId="0">
      <selection activeCell="F17" sqref="F17:I17"/>
    </sheetView>
  </sheetViews>
  <sheetFormatPr defaultRowHeight="15" x14ac:dyDescent="0.25"/>
  <cols>
    <col min="2" max="2" width="17.28515625" bestFit="1" customWidth="1"/>
    <col min="3" max="3" width="13.140625" style="12" bestFit="1" customWidth="1"/>
    <col min="4" max="4" width="15" customWidth="1"/>
    <col min="5" max="5" width="17.28515625" bestFit="1" customWidth="1"/>
    <col min="6" max="9" width="21.42578125" bestFit="1" customWidth="1"/>
    <col min="11" max="11" width="9.5703125" bestFit="1" customWidth="1"/>
    <col min="12" max="12" width="15" bestFit="1" customWidth="1"/>
    <col min="13" max="13" width="14.28515625" bestFit="1" customWidth="1"/>
    <col min="14" max="14" width="16.28515625" bestFit="1" customWidth="1"/>
    <col min="15" max="15" width="12" bestFit="1" customWidth="1"/>
  </cols>
  <sheetData>
    <row r="1" spans="2:12" x14ac:dyDescent="0.25">
      <c r="B1" s="2" t="s">
        <v>38</v>
      </c>
      <c r="C1" s="13"/>
      <c r="E1" s="2" t="s">
        <v>47</v>
      </c>
      <c r="I1" s="2"/>
      <c r="J1" s="2"/>
      <c r="K1" s="2"/>
      <c r="L1" s="2"/>
    </row>
    <row r="2" spans="2:12" x14ac:dyDescent="0.25">
      <c r="B2" t="s">
        <v>39</v>
      </c>
      <c r="C2" s="17">
        <v>1</v>
      </c>
      <c r="E2" t="s">
        <v>43</v>
      </c>
      <c r="F2" s="17">
        <v>0.17</v>
      </c>
      <c r="H2" s="18" t="s">
        <v>70</v>
      </c>
      <c r="I2">
        <f>8760</f>
        <v>8760</v>
      </c>
    </row>
    <row r="3" spans="2:12" x14ac:dyDescent="0.25">
      <c r="B3" t="s">
        <v>40</v>
      </c>
      <c r="C3" s="19">
        <v>0.9</v>
      </c>
      <c r="E3" t="s">
        <v>44</v>
      </c>
      <c r="F3" s="17">
        <v>0.83</v>
      </c>
      <c r="H3" s="18" t="s">
        <v>71</v>
      </c>
      <c r="I3">
        <v>24</v>
      </c>
    </row>
    <row r="4" spans="2:12" x14ac:dyDescent="0.25">
      <c r="B4" t="s">
        <v>41</v>
      </c>
      <c r="C4" s="19">
        <v>0.15</v>
      </c>
      <c r="E4" t="s">
        <v>45</v>
      </c>
      <c r="F4" s="17">
        <v>0.83</v>
      </c>
    </row>
    <row r="5" spans="2:12" x14ac:dyDescent="0.25">
      <c r="B5" t="s">
        <v>42</v>
      </c>
      <c r="C5" s="17">
        <v>0.25</v>
      </c>
      <c r="E5" t="s">
        <v>46</v>
      </c>
      <c r="F5" s="17">
        <v>0.17</v>
      </c>
    </row>
    <row r="7" spans="2:12" x14ac:dyDescent="0.25">
      <c r="B7" s="54" t="s">
        <v>72</v>
      </c>
      <c r="C7" s="54"/>
    </row>
    <row r="8" spans="2:12" x14ac:dyDescent="0.25">
      <c r="B8" t="s">
        <v>62</v>
      </c>
      <c r="C8" s="20">
        <v>16.989999999999998</v>
      </c>
      <c r="L8" s="21"/>
    </row>
    <row r="9" spans="2:12" x14ac:dyDescent="0.25">
      <c r="B9" t="s">
        <v>73</v>
      </c>
      <c r="C9" s="22">
        <f>C8*9.764*10^-5</f>
        <v>1.6589036E-3</v>
      </c>
      <c r="D9" t="s">
        <v>74</v>
      </c>
    </row>
    <row r="10" spans="2:12" x14ac:dyDescent="0.25">
      <c r="C10"/>
      <c r="L10" s="23"/>
    </row>
    <row r="11" spans="2:12" x14ac:dyDescent="0.25">
      <c r="F11" s="18" t="s">
        <v>75</v>
      </c>
      <c r="G11" s="18" t="s">
        <v>76</v>
      </c>
      <c r="H11" s="18" t="s">
        <v>77</v>
      </c>
      <c r="I11" s="18" t="s">
        <v>78</v>
      </c>
      <c r="L11" s="23"/>
    </row>
    <row r="12" spans="2:12" x14ac:dyDescent="0.25">
      <c r="E12" s="18" t="s">
        <v>79</v>
      </c>
      <c r="F12" s="20">
        <v>365</v>
      </c>
      <c r="G12" s="24">
        <f>F12/4</f>
        <v>91.25</v>
      </c>
      <c r="H12" s="24">
        <f>F12/12</f>
        <v>30.416666666666668</v>
      </c>
      <c r="I12" s="20">
        <v>1</v>
      </c>
    </row>
    <row r="13" spans="2:12" x14ac:dyDescent="0.25">
      <c r="E13" s="18"/>
      <c r="F13" s="18"/>
      <c r="G13" s="18"/>
      <c r="H13" s="18"/>
      <c r="I13" s="18"/>
    </row>
    <row r="17" spans="4:14" ht="15.75" customHeight="1" x14ac:dyDescent="0.25">
      <c r="D17" s="30"/>
      <c r="E17" s="30"/>
      <c r="F17" s="55" t="s">
        <v>63</v>
      </c>
      <c r="G17" s="55"/>
      <c r="H17" s="55"/>
      <c r="I17" s="55"/>
    </row>
    <row r="18" spans="4:14" ht="18" x14ac:dyDescent="0.25">
      <c r="D18" s="30"/>
      <c r="E18" s="30"/>
      <c r="F18" s="30">
        <v>1</v>
      </c>
      <c r="G18" s="30">
        <v>1.1000000000000001</v>
      </c>
      <c r="H18" s="30">
        <v>1.2</v>
      </c>
      <c r="I18" s="30">
        <v>1.3</v>
      </c>
    </row>
    <row r="19" spans="4:14" ht="36" x14ac:dyDescent="0.25">
      <c r="D19" s="30" t="s">
        <v>64</v>
      </c>
      <c r="E19" s="30" t="s">
        <v>65</v>
      </c>
      <c r="F19" s="30" t="s">
        <v>66</v>
      </c>
      <c r="G19" s="30" t="s">
        <v>67</v>
      </c>
      <c r="H19" s="30" t="s">
        <v>68</v>
      </c>
      <c r="I19" s="30" t="s">
        <v>69</v>
      </c>
    </row>
    <row r="20" spans="4:14" ht="18" x14ac:dyDescent="0.25">
      <c r="D20" s="40" t="s">
        <v>39</v>
      </c>
      <c r="E20" s="15" t="s">
        <v>58</v>
      </c>
      <c r="F20" s="25">
        <f>ROUND($F$2*$C$9*$I$2/$I$3,6)</f>
        <v>0.102935</v>
      </c>
      <c r="G20" s="25">
        <f>ROUND($F$2*$C$9*$I$2/$I$3*1.1*$G$12/$F$12,6)</f>
        <v>2.8306999999999999E-2</v>
      </c>
      <c r="H20" s="25">
        <f>ROUND($F$2*$C$9*$I$2/$I$3*1.2*$H$12/$F$12,6)</f>
        <v>1.0293E-2</v>
      </c>
      <c r="I20" s="25">
        <f>ROUND($F$2*$C$9*$I$2/$I$3*1.3/$F$12,6)</f>
        <v>3.6699999999999998E-4</v>
      </c>
      <c r="L20" s="33"/>
      <c r="M20" s="33"/>
      <c r="N20" s="33"/>
    </row>
    <row r="21" spans="4:14" ht="36" customHeight="1" x14ac:dyDescent="0.25">
      <c r="D21" s="27" t="s">
        <v>40</v>
      </c>
      <c r="E21" s="15" t="s">
        <v>58</v>
      </c>
      <c r="F21" s="25">
        <f>ROUND($F$2*$C$9*$C$3*$I$2/$I$3,6)</f>
        <v>9.2641000000000001E-2</v>
      </c>
      <c r="G21" s="25">
        <f>ROUND($F$2*$C$9*$C$3*$I$2/$I$3*1.1*$G$12/$F$12,6)</f>
        <v>2.5475999999999999E-2</v>
      </c>
      <c r="H21" s="25">
        <f>ROUND($F$2*$C$9*$C$3*$I$2/$I$3*1.2*$H$12/$F$12,6)</f>
        <v>9.2639999999999997E-3</v>
      </c>
      <c r="I21" s="25">
        <f>ROUND($F$2*$C$9*$C$3*$I$2/$I$3*1.3/$F$12,6)</f>
        <v>3.3E-4</v>
      </c>
    </row>
    <row r="22" spans="4:14" ht="44.25" customHeight="1" x14ac:dyDescent="0.25">
      <c r="D22" s="27" t="s">
        <v>41</v>
      </c>
      <c r="E22" s="15" t="s">
        <v>58</v>
      </c>
      <c r="F22" s="26">
        <f>ROUND($F$4*$C$9*$C$4*$I$2/$I$3,6)</f>
        <v>7.5384999999999994E-2</v>
      </c>
      <c r="G22" s="26">
        <f>ROUND($F$4*$C$9*$C$4*$I$2/$I$3*1.1*$G$12/$F$12,6)</f>
        <v>2.0730999999999999E-2</v>
      </c>
      <c r="H22" s="25">
        <f>ROUND($F$4*$C$9*$C$4*$I$2/$I$3*1.2*$H$12/$F$12,6)</f>
        <v>7.5380000000000004E-3</v>
      </c>
      <c r="I22" s="25">
        <f>ROUND($F$4*$C$9*$C$4*$I$2/$I$3*1.3/$F$12,6)</f>
        <v>2.6800000000000001E-4</v>
      </c>
    </row>
    <row r="24" spans="4:14" ht="18" x14ac:dyDescent="0.25">
      <c r="D24" s="34"/>
      <c r="E24" s="35"/>
      <c r="F24" s="36"/>
      <c r="G24" s="36"/>
      <c r="H24" s="36"/>
      <c r="I24" s="36"/>
    </row>
    <row r="25" spans="4:14" ht="18" x14ac:dyDescent="0.25">
      <c r="D25" s="30"/>
      <c r="E25" s="30"/>
      <c r="F25" s="55" t="s">
        <v>63</v>
      </c>
      <c r="G25" s="55"/>
      <c r="H25" s="55"/>
      <c r="I25" s="55"/>
    </row>
    <row r="26" spans="4:14" ht="18" x14ac:dyDescent="0.25">
      <c r="D26" s="30"/>
      <c r="E26" s="30"/>
      <c r="F26" s="30">
        <v>1</v>
      </c>
      <c r="G26" s="30">
        <v>1.1000000000000001</v>
      </c>
      <c r="H26" s="30">
        <v>1.2</v>
      </c>
      <c r="I26" s="30">
        <v>1.3</v>
      </c>
    </row>
    <row r="27" spans="4:14" ht="36" x14ac:dyDescent="0.25">
      <c r="D27" s="30" t="s">
        <v>64</v>
      </c>
      <c r="E27" s="30" t="s">
        <v>65</v>
      </c>
      <c r="F27" s="30" t="s">
        <v>66</v>
      </c>
      <c r="G27" s="30" t="s">
        <v>67</v>
      </c>
      <c r="H27" s="30" t="s">
        <v>68</v>
      </c>
      <c r="I27" s="30" t="s">
        <v>69</v>
      </c>
    </row>
    <row r="28" spans="4:14" ht="18" x14ac:dyDescent="0.25">
      <c r="D28" s="40" t="s">
        <v>39</v>
      </c>
      <c r="E28" s="15" t="s">
        <v>59</v>
      </c>
      <c r="F28" s="25">
        <f>ROUND($F$3*$C$9*$I$2/$I$3,6)</f>
        <v>0.50256500000000004</v>
      </c>
      <c r="G28" s="25">
        <f>ROUND($F$3*$C$9*$I$2/$I$3*1.1*$G$12/$F$12,6)</f>
        <v>0.13820499999999999</v>
      </c>
      <c r="H28" s="25">
        <f>ROUND($F$3*$C$9*$I$2/$I$3*1.2*$H$12/$F$12,6)</f>
        <v>5.0256000000000002E-2</v>
      </c>
      <c r="I28" s="25">
        <f>ROUND($F$3*$C$9*$I$2/$I$3/$F$12*1.3,6)</f>
        <v>1.7899999999999999E-3</v>
      </c>
    </row>
    <row r="29" spans="4:14" ht="18" x14ac:dyDescent="0.25">
      <c r="D29" s="27" t="s">
        <v>40</v>
      </c>
      <c r="E29" s="15" t="s">
        <v>59</v>
      </c>
      <c r="F29" s="25">
        <f>ROUND($F$3*$C$9*$C$3*$I$2/$I$3,6)</f>
        <v>0.45230799999999999</v>
      </c>
      <c r="G29" s="25">
        <f>ROUND($F$3*$C$9*$C$3*$I$2/$I$3*1.1*$G$12/$F$12,6)</f>
        <v>0.124385</v>
      </c>
      <c r="H29" s="25">
        <f>ROUND($F$3*$C$9*$C$3*$I$2/$I$3*1.2*$H$12/$F$12,6)</f>
        <v>4.5231E-2</v>
      </c>
      <c r="I29" s="25">
        <f>ROUND($F$3*$C$9*$C$3*$I$2/$I$3*1.3/$F$12,6)</f>
        <v>1.611E-3</v>
      </c>
    </row>
    <row r="30" spans="4:14" ht="18" x14ac:dyDescent="0.25">
      <c r="D30" s="27" t="s">
        <v>41</v>
      </c>
      <c r="E30" s="15" t="s">
        <v>59</v>
      </c>
      <c r="F30" s="26">
        <f>ROUND($F$5*$C$9*$C$4*$I$2/$I$3,6)</f>
        <v>1.5440000000000001E-2</v>
      </c>
      <c r="G30" s="26">
        <f>ROUND($F$5*$C$9*$C$4*$I$2/$I$3*1.1*$G$12/$F$12,6)</f>
        <v>4.2459999999999998E-3</v>
      </c>
      <c r="H30" s="25">
        <f>ROUND($F$5*$C$9*$C$4*$I$2/$I$3*1.2*$H$12/$F$12,6)</f>
        <v>1.544E-3</v>
      </c>
      <c r="I30" s="25">
        <f>ROUND($F$5*$C$9*$C$4*$I$2/$I$3*1.3/$F$12,6)</f>
        <v>5.5000000000000002E-5</v>
      </c>
    </row>
    <row r="56" spans="5:9" ht="18" x14ac:dyDescent="0.35">
      <c r="E56" s="37" t="s">
        <v>85</v>
      </c>
    </row>
    <row r="58" spans="5:9" x14ac:dyDescent="0.25">
      <c r="E58" s="38" t="s">
        <v>86</v>
      </c>
      <c r="F58" s="39">
        <f>(F20+F28)-ROUND($C$9*I2/I3,6)</f>
        <v>0</v>
      </c>
      <c r="G58" s="39">
        <f>(G20+G28)-ROUND($C$9*1.1*I2/I3*G12/F12,6)</f>
        <v>0</v>
      </c>
      <c r="H58" s="39">
        <f>(H20+H28)-ROUND($C$9*1.2*$H$12/$F$12*I2/I3,6)</f>
        <v>-9.9999999999406119E-7</v>
      </c>
      <c r="I58" s="39">
        <f>(I20+I28)-ROUND($C$9*1.3,6)</f>
        <v>0</v>
      </c>
    </row>
    <row r="59" spans="5:9" x14ac:dyDescent="0.25">
      <c r="E59" s="38" t="s">
        <v>87</v>
      </c>
      <c r="F59" s="39">
        <f>(F21+F29)-ROUND($C$9*$C$3*I2/I3,6)</f>
        <v>-1.0000000000287557E-6</v>
      </c>
      <c r="G59" s="39">
        <f>(G21+G29)-ROUND($C$9*$C$3*1.1*I2/I3*G12/F12,6)</f>
        <v>0</v>
      </c>
      <c r="H59" s="39">
        <f>(H21+H29)-ROUND($C$9*$C$3*1.2*$H$12/$F$12*I2/I3,6)</f>
        <v>0</v>
      </c>
      <c r="I59" s="39">
        <f>(I21+I29)-ROUND($C$9*$C$3*1.3,6)</f>
        <v>0</v>
      </c>
    </row>
    <row r="60" spans="5:9" x14ac:dyDescent="0.25">
      <c r="E60" s="38" t="s">
        <v>88</v>
      </c>
      <c r="F60" s="39">
        <f>(F22+F30)-ROUND($C$9*$C$4*I2/I3,6)</f>
        <v>0</v>
      </c>
      <c r="G60" s="39">
        <f>(G22+G30)-ROUND($C$9*$C$4*1.1*I2/I3*G12/F12,6)</f>
        <v>0</v>
      </c>
      <c r="H60" s="39">
        <f>(H22+H30)-ROUND($C$9*$C$4*1.2*$H$12/$F$12*I2/I3,6)</f>
        <v>0</v>
      </c>
      <c r="I60" s="39">
        <f>(I22+I30)-ROUND($C$9*$C$4*1.3,6)</f>
        <v>0</v>
      </c>
    </row>
  </sheetData>
  <mergeCells count="3">
    <mergeCell ref="F25:I25"/>
    <mergeCell ref="B7:C7"/>
    <mergeCell ref="F17:I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C6981651CA534EA815B582938C1E0F" ma:contentTypeVersion="14" ma:contentTypeDescription="Създаване на нов документ" ma:contentTypeScope="" ma:versionID="39672367c633beeac00ea3d3b95a19c9">
  <xsd:schema xmlns:xsd="http://www.w3.org/2001/XMLSchema" xmlns:xs="http://www.w3.org/2001/XMLSchema" xmlns:p="http://schemas.microsoft.com/office/2006/metadata/properties" xmlns:ns2="032b201e-b991-4097-bc54-3feb8119118f" xmlns:ns3="8b8f0ea3-8770-477e-83c6-d4f6da9ce49c" targetNamespace="http://schemas.microsoft.com/office/2006/metadata/properties" ma:root="true" ma:fieldsID="988b7f00fc73cc8db8b4d3cf65282b08" ns2:_="" ns3:_="">
    <xsd:import namespace="032b201e-b991-4097-bc54-3feb8119118f"/>
    <xsd:import namespace="8b8f0ea3-8770-477e-83c6-d4f6da9ce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b201e-b991-4097-bc54-3feb8119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Етикети за изображения" ma:readOnly="false" ma:fieldId="{5cf76f15-5ced-4ddc-b409-7134ff3c332f}" ma:taxonomyMulti="true" ma:sspId="51f68272-a0f6-4930-88e7-ab5b0bbd5a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f0ea3-8770-477e-83c6-d4f6da9ce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8493f86-2c31-43c8-9534-03f53d607fcd}" ma:internalName="TaxCatchAll" ma:showField="CatchAllData" ma:web="8b8f0ea3-8770-477e-83c6-d4f6da9ce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192E5-5529-41DF-BF92-32A477F3CBC6}"/>
</file>

<file path=customXml/itemProps2.xml><?xml version="1.0" encoding="utf-8"?>
<ds:datastoreItem xmlns:ds="http://schemas.openxmlformats.org/officeDocument/2006/customXml" ds:itemID="{94FFAAA3-8923-4E18-8D75-66D3EEE478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Help sheet</vt:lpstr>
      <vt:lpstr>Tariff kWh-d-T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Hristiana Georgieva</dc:creator>
  <cp:lastModifiedBy>Hristiana Georgieva</cp:lastModifiedBy>
  <dcterms:created xsi:type="dcterms:W3CDTF">2015-06-05T18:17:20Z</dcterms:created>
  <dcterms:modified xsi:type="dcterms:W3CDTF">2022-12-19T12:23:29Z</dcterms:modified>
</cp:coreProperties>
</file>